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QUINA0Q\Desktop\Show Me Challenge, Ideas, Suggestions\VA - ShowMe Challenge Pitch\Current\"/>
    </mc:Choice>
  </mc:AlternateContent>
  <bookViews>
    <workbookView xWindow="0" yWindow="0" windowWidth="2370" windowHeight="0"/>
  </bookViews>
  <sheets>
    <sheet name="Sep MO Veteran on MO HealthNet " sheetId="1" r:id="rId1"/>
    <sheet name="MO Veteran on MO HealthNet  (2" sheetId="3" r:id="rId2"/>
    <sheet name="Sheet1" sheetId="2" r:id="rId3"/>
  </sheets>
  <definedNames>
    <definedName name="_xlnm._FilterDatabase" localSheetId="1" hidden="1">'MO Veteran on MO HealthNet  (2'!$A$1:$K$62</definedName>
    <definedName name="_xlnm._FilterDatabase" localSheetId="0" hidden="1">'Sep MO Veteran on MO HealthNet '!$A$1:$I$87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B32" i="1" l="1"/>
  <c r="B33" i="1" s="1"/>
  <c r="G57" i="1"/>
  <c r="G47" i="1"/>
  <c r="G48" i="1"/>
  <c r="G49" i="1"/>
  <c r="G50" i="1"/>
  <c r="G51" i="1"/>
  <c r="G52" i="1"/>
  <c r="G53" i="1"/>
  <c r="G54" i="1"/>
  <c r="G55" i="1"/>
  <c r="G46" i="1"/>
  <c r="G13" i="1"/>
  <c r="G8" i="1"/>
  <c r="G9" i="1"/>
  <c r="G10" i="1"/>
  <c r="G11" i="1"/>
  <c r="G12" i="1"/>
  <c r="G5" i="1"/>
  <c r="G18" i="1"/>
  <c r="G20" i="1"/>
  <c r="G25" i="1"/>
  <c r="F19" i="1"/>
  <c r="H19" i="1"/>
  <c r="G19" i="1" s="1"/>
  <c r="B35" i="1" s="1"/>
  <c r="B40" i="1" s="1"/>
  <c r="F56" i="1"/>
  <c r="G21" i="1"/>
  <c r="G22" i="1"/>
  <c r="G23" i="1"/>
  <c r="G24" i="1"/>
  <c r="G26" i="1"/>
  <c r="G27" i="1"/>
  <c r="G28" i="1"/>
  <c r="G29" i="1"/>
  <c r="G30" i="1"/>
  <c r="G32" i="1"/>
  <c r="G4" i="1"/>
  <c r="G6" i="1"/>
  <c r="G7" i="1"/>
  <c r="G14" i="1"/>
  <c r="G15" i="1"/>
  <c r="G16" i="1"/>
  <c r="G17" i="1"/>
  <c r="G3" i="1"/>
  <c r="H56" i="1"/>
  <c r="G56" i="1" s="1"/>
  <c r="H31" i="1"/>
  <c r="G31" i="1" s="1"/>
  <c r="B36" i="1" s="1"/>
  <c r="E56" i="1"/>
  <c r="B9" i="1"/>
  <c r="F31" i="1"/>
  <c r="E31" i="1"/>
  <c r="E7" i="1"/>
  <c r="E19" i="1" s="1"/>
  <c r="B39" i="1" l="1"/>
  <c r="B41" i="1"/>
  <c r="B43" i="1" s="1"/>
  <c r="H33" i="1"/>
  <c r="G33" i="1" s="1"/>
  <c r="B19" i="1"/>
  <c r="B20" i="1" s="1"/>
  <c r="I45" i="3"/>
  <c r="I43" i="3"/>
  <c r="H43" i="3"/>
  <c r="G43" i="3"/>
  <c r="F43" i="3"/>
  <c r="F40" i="3"/>
  <c r="F39" i="3"/>
  <c r="F38" i="3"/>
  <c r="F37" i="3"/>
  <c r="F36" i="3"/>
  <c r="F35" i="3"/>
  <c r="F34" i="3"/>
  <c r="F33" i="3"/>
  <c r="F32" i="3"/>
  <c r="F31" i="3"/>
  <c r="F30" i="3"/>
  <c r="B27" i="3"/>
  <c r="G24" i="3"/>
  <c r="I23" i="3"/>
  <c r="H23" i="3"/>
  <c r="H45" i="3" s="1"/>
  <c r="G23" i="3"/>
  <c r="G45" i="3" s="1"/>
  <c r="I21" i="3"/>
  <c r="H21" i="3"/>
  <c r="G21" i="3"/>
  <c r="F21" i="3"/>
  <c r="F23" i="3" s="1"/>
  <c r="F45" i="3" s="1"/>
  <c r="C25" i="3" s="1"/>
  <c r="F19" i="3"/>
  <c r="B19" i="3"/>
  <c r="F18" i="3"/>
  <c r="F17" i="3"/>
  <c r="F16" i="3"/>
  <c r="F15" i="3"/>
  <c r="I13" i="3"/>
  <c r="H13" i="3"/>
  <c r="G13" i="3"/>
  <c r="F13" i="3"/>
  <c r="F12" i="3"/>
  <c r="B12" i="3"/>
  <c r="B16" i="3" s="1"/>
  <c r="F11" i="3"/>
  <c r="B11" i="3"/>
  <c r="F10" i="3"/>
  <c r="F9" i="3"/>
  <c r="B9" i="3"/>
  <c r="F7" i="3"/>
  <c r="F6" i="3"/>
  <c r="F5" i="3"/>
  <c r="F4" i="3"/>
  <c r="F3" i="3"/>
  <c r="H58" i="1" l="1"/>
  <c r="G58" i="1" s="1"/>
  <c r="B27" i="1" s="1"/>
  <c r="B37" i="1"/>
  <c r="G46" i="3"/>
  <c r="B21" i="3"/>
  <c r="B29" i="3" s="1"/>
  <c r="B32" i="3" s="1"/>
  <c r="B20" i="3"/>
  <c r="B24" i="3"/>
  <c r="B18" i="3"/>
  <c r="B23" i="3"/>
  <c r="C15" i="3"/>
  <c r="B31" i="1" l="1"/>
  <c r="B24" i="1"/>
  <c r="B28" i="1"/>
  <c r="B28" i="3"/>
  <c r="B22" i="3"/>
  <c r="B30" i="3" s="1"/>
  <c r="B33" i="3" s="1"/>
  <c r="B34" i="3"/>
  <c r="B36" i="3" s="1"/>
  <c r="B35" i="3" s="1"/>
  <c r="B42" i="1" l="1"/>
  <c r="B34" i="1"/>
  <c r="F33" i="1"/>
  <c r="E33" i="1"/>
  <c r="E58" i="1" s="1"/>
  <c r="B15" i="1" s="1"/>
  <c r="B16" i="1" s="1"/>
  <c r="F58" i="1" l="1"/>
  <c r="B13" i="1" s="1"/>
  <c r="B14" i="1" s="1"/>
  <c r="B23" i="1"/>
  <c r="B22" i="1" l="1"/>
</calcChain>
</file>

<file path=xl/sharedStrings.xml><?xml version="1.0" encoding="utf-8"?>
<sst xmlns="http://schemas.openxmlformats.org/spreadsheetml/2006/main" count="192" uniqueCount="133">
  <si>
    <t>https://www.census.gov/quickfacts/MO</t>
  </si>
  <si>
    <t>MO Population data via US Census Bureau</t>
  </si>
  <si>
    <t xml:space="preserve">https://www.va.gov/vetdata/veteran_population.asp </t>
  </si>
  <si>
    <t>Data via Veterans Administration - 9/30/2019</t>
  </si>
  <si>
    <t>* MO HealthNet costs in 2020 and ongoing likely to be higher than shown</t>
  </si>
  <si>
    <t>https://dss.mo.gov/mis/cqfacts/</t>
  </si>
  <si>
    <t xml:space="preserve">https://dss.mo.gov/re/fsd_mhdmr.htm </t>
  </si>
  <si>
    <t>&amp; Quick Facts Dept. of Social Services</t>
  </si>
  <si>
    <t>***</t>
  </si>
  <si>
    <t>MO HealthNet data via March 2020 Management Report</t>
  </si>
  <si>
    <t xml:space="preserve">DATA SOURCES </t>
  </si>
  <si>
    <t>Total MO HealthNet</t>
  </si>
  <si>
    <t>Total Children</t>
  </si>
  <si>
    <t>MO HEALTHNET FOR FAMILIES - CHILDREN</t>
  </si>
  <si>
    <t>eligible for healthcare survivor benefits and family members of those 100% disabled</t>
  </si>
  <si>
    <t xml:space="preserve">INDEPENDENT FOSTER CARE CHILDREN AGE 18-26 </t>
  </si>
  <si>
    <t>Stats shown do not consider MO HealthNet participants that are:</t>
  </si>
  <si>
    <t xml:space="preserve">PRESUMPTIVE ELIGIBILITY FOR KIDS </t>
  </si>
  <si>
    <t>MO HEALTHNET FOR KIDS (SCHIP)</t>
  </si>
  <si>
    <t xml:space="preserve">MOCDD </t>
  </si>
  <si>
    <t>PRESUMPTIVE ELIGIBILITY</t>
  </si>
  <si>
    <t xml:space="preserve">MO Portion of MO HealthNet costs </t>
  </si>
  <si>
    <t xml:space="preserve">MO HEALTHNET FOR CHILDREN </t>
  </si>
  <si>
    <t>Total statistical calculated  portion costs of MO HealthNet for MO Veterans</t>
  </si>
  <si>
    <t>DYS</t>
  </si>
  <si>
    <t>Veteran portion costs for MO HealthNet for Adults</t>
  </si>
  <si>
    <t xml:space="preserve">TITLE XIX - HDN </t>
  </si>
  <si>
    <t>Female Veteran portion of MO HealthNet programs just for Women</t>
  </si>
  <si>
    <t xml:space="preserve">CHILD WELFARE SERVICES </t>
  </si>
  <si>
    <t>FOSTER CAR</t>
  </si>
  <si>
    <t>Cost of Adults on MO HealthNet</t>
  </si>
  <si>
    <t>Cost of Woman MO HealthNet programs</t>
  </si>
  <si>
    <t>Cost of Adults on MO HealthNet Costs not counting Woman MO HealthNet programs</t>
  </si>
  <si>
    <t xml:space="preserve">MO portion cost of MHN Expenditures </t>
  </si>
  <si>
    <t xml:space="preserve">Est. Fed Share of MHN Expenditures </t>
  </si>
  <si>
    <t>Total annual MO HealthNet (Medicaid) costs 2019 (underestimate for ongoing)</t>
  </si>
  <si>
    <t>Cost MO HealthNet Children Enrollees as % of MO HealthNet costs</t>
  </si>
  <si>
    <t>Total Adults</t>
  </si>
  <si>
    <t>Children as a % of MO HealthNet Enrollees</t>
  </si>
  <si>
    <t>Adults as % of MO HealthNet Costs</t>
  </si>
  <si>
    <t>Totals for Women on Female only MO HealthNet programs</t>
  </si>
  <si>
    <t xml:space="preserve">Woman MO HealthNet programs as % of MO HealthNet costs </t>
  </si>
  <si>
    <t>Adults as % of MO HealthNet Costs not counting Woman MO HealthNet programs</t>
  </si>
  <si>
    <t xml:space="preserve">WOMENS HEALTH SERVICES </t>
  </si>
  <si>
    <t>MO veterans as % of Adult MO HealthNet enrollees</t>
  </si>
  <si>
    <t>SHOW ME HEALTHY BABIES</t>
  </si>
  <si>
    <t>Adults as % of MO HealthNet Enrollees</t>
  </si>
  <si>
    <t xml:space="preserve">MO HEALTHNET FOR PREGNANT WOMEN (POVERTY)  </t>
  </si>
  <si>
    <t xml:space="preserve">MO HEALTHNET FOR PREGNANT WOMEN (MAF INCOME LIMIT) </t>
  </si>
  <si>
    <t xml:space="preserve">Estimated # of MO Veterans on MO HealthNet </t>
  </si>
  <si>
    <t xml:space="preserve">WOMEN WITH BREAST OR CERVICAL CANCER (BCCT) </t>
  </si>
  <si>
    <t># of People enrolled for MHN Services</t>
  </si>
  <si>
    <t xml:space="preserve">TICKET TO WORK HEALTH ASSURANCE (TWHA) PROGRAM - NON-PREMIUM </t>
  </si>
  <si>
    <t xml:space="preserve">total % adults in MO that are veterans </t>
  </si>
  <si>
    <t xml:space="preserve">TICKET TO WORK HEALTH ASSURANCE (TWHA) PROGRAM - PREMIUM </t>
  </si>
  <si>
    <t xml:space="preserve">% adults in MO that are female veterans </t>
  </si>
  <si>
    <t xml:space="preserve">QUALIFIED MEDICARE BENEFICIARY (QMB) </t>
  </si>
  <si>
    <t>(22.5% is under 18 so 77.5% of the population is over 18)</t>
  </si>
  <si>
    <t>BLIND PENSION</t>
  </si>
  <si>
    <t>Adult Population of MO</t>
  </si>
  <si>
    <t>Population of MO</t>
  </si>
  <si>
    <t xml:space="preserve">SPECIFIED LOW-INCOME MEDICARE BENEFICIARY </t>
  </si>
  <si>
    <t xml:space="preserve">AID TO THE BLIND </t>
  </si>
  <si>
    <t xml:space="preserve"># of Veterans in MO </t>
  </si>
  <si>
    <t xml:space="preserve"> PERMANENTLY &amp; TOTALLY DISABLED </t>
  </si>
  <si>
    <t xml:space="preserve"># of Female Veterans in MO </t>
  </si>
  <si>
    <t xml:space="preserve">OLD AGE ASSISTANCE </t>
  </si>
  <si>
    <t xml:space="preserve">MO HEALTHNET FOR FAMILIES - ADULTS </t>
  </si>
  <si>
    <t>TMH Transitional MO HealthNet (not found in Monthly Management report)</t>
  </si>
  <si>
    <t>?</t>
  </si>
  <si>
    <t>CALCULATIONS</t>
  </si>
  <si>
    <t>Program</t>
  </si>
  <si>
    <t>Monthly</t>
  </si>
  <si>
    <t>Recipients</t>
  </si>
  <si>
    <t># Enrolled</t>
  </si>
  <si>
    <t>Cost</t>
  </si>
  <si>
    <t>month to annual * enrolled</t>
  </si>
  <si>
    <t>Please note that numbers are mostly prior to COVID-19. Since COVID-19 the number of participants on MO HealthNet is much greater than is shown here. This also does not count an expected significant increase in MO HealthNet participation due to MO HealthNet expansion starting in July 2021 Therefore this proposal under estimates possible MO HealthNet participants and savings.</t>
  </si>
  <si>
    <t>MO Veteran MO HealthNet costs likely to be higher than indicated due to factors like age and health</t>
  </si>
  <si>
    <t>MO portion of MO HealthNet Expenditures for Veterans</t>
  </si>
  <si>
    <t>TMH Transitional MO HealthNet Parent/Caretakers</t>
  </si>
  <si>
    <t>TRANSITIONAL MO HEALHTNET CHILDREN</t>
  </si>
  <si>
    <t>NON-CHIP POVERTY CHILDREN</t>
  </si>
  <si>
    <t>CHIP NON-PREMIUM CHILDREN</t>
  </si>
  <si>
    <t>CHIP PREMIUM CHILDREN</t>
  </si>
  <si>
    <t>NEWBORNS CHILDREN</t>
  </si>
  <si>
    <t>MPW MO HEALTHNET FOR PREG WOMEN</t>
  </si>
  <si>
    <t>EXTENDED WOMEN'S HEALTH</t>
  </si>
  <si>
    <t>UNINSURED WOMEN'S HEALTH</t>
  </si>
  <si>
    <t xml:space="preserve">(BCCT) WOMEN WITH BREAST OR CERVICAL CANCER </t>
  </si>
  <si>
    <t xml:space="preserve">(BCCT) PRESUMPTIVE ELIGIBILITY </t>
  </si>
  <si>
    <t>MHCC</t>
  </si>
  <si>
    <t>JUVENILE COURT</t>
  </si>
  <si>
    <t>DIV. OF YOURTH SERVICES</t>
  </si>
  <si>
    <t>SUPPLEMENTAL AID TO THE BLIND</t>
  </si>
  <si>
    <t>SSI-SP</t>
  </si>
  <si>
    <t>SP ONLY</t>
  </si>
  <si>
    <t>SPENDDOWN</t>
  </si>
  <si>
    <t>NON-SPENDDOWN</t>
  </si>
  <si>
    <t>NURSING CARE</t>
  </si>
  <si>
    <t xml:space="preserve">SLMB - SPECIFIED LOW-INCOME MEDICARE BENEFICIARY </t>
  </si>
  <si>
    <t>VENDOR</t>
  </si>
  <si>
    <t>Total Adult Programs</t>
  </si>
  <si>
    <t>Estimated # of Female Veterans on Women's MO HealthNet</t>
  </si>
  <si>
    <t>Enrolled 9/30/2020</t>
  </si>
  <si>
    <t>Permanently &amp; Totally Disabled</t>
  </si>
  <si>
    <t>MO HEALTHNET FOR PREGNANT WOMEN (MAF INCOME LINIT)</t>
  </si>
  <si>
    <t>FOSTER CARE</t>
  </si>
  <si>
    <t>CHILD WELFARE SERVICES</t>
  </si>
  <si>
    <t>MO HEALTHNET FOR PREGNANT WOMEN (POVERTY)</t>
  </si>
  <si>
    <t>MO HEALTHNET FOR CHLDREN</t>
  </si>
  <si>
    <t>MOCDD</t>
  </si>
  <si>
    <t>INDEPENDENT FOSTER CARE CHILDREN AGE 18-26</t>
  </si>
  <si>
    <t xml:space="preserve">Estimated # of Total MO Veterans on MO HealthNet </t>
  </si>
  <si>
    <t>https://www.va.gov/vetdata/docs/SpecialReports/State_Summaries_Missouri.pdf</t>
  </si>
  <si>
    <t xml:space="preserve"># of People enrolled for MHN Services per monthly report </t>
  </si>
  <si>
    <t># of People enrolled for MHN Services per quick facts</t>
  </si>
  <si>
    <t>Total Recipients added together</t>
  </si>
  <si>
    <t>Discrepancy between quick facts and Monthly entrolles</t>
  </si>
  <si>
    <t>Discrepancy between quick facts and Monthly report recipient numbers</t>
  </si>
  <si>
    <t>Monthly Cost</t>
  </si>
  <si>
    <t>Annualized Cost</t>
  </si>
  <si>
    <t>Adults costs as % of total MO HealthNet Costs</t>
  </si>
  <si>
    <t>Total annualized MO HealthNet (Medicaid) costs from Sept 2020 (underestimate for ongoing)</t>
  </si>
  <si>
    <t xml:space="preserve">Est State Share of MO HealthNet Expenses </t>
  </si>
  <si>
    <t xml:space="preserve">This also does not count an expected significant increase in MO HealthNet participation due to MO HealthNet expansion </t>
  </si>
  <si>
    <t xml:space="preserve">MO HealthNet Expansion starts July 2021. </t>
  </si>
  <si>
    <t>Therefore this proposal under estimates possible MO HealthNet participant savings.</t>
  </si>
  <si>
    <t>*Stats shown do not consider MO HealthNet participants that are:</t>
  </si>
  <si>
    <t xml:space="preserve">Data via Veterans Administration </t>
  </si>
  <si>
    <t>AgeMedian(Years)</t>
  </si>
  <si>
    <t>Gender%Male</t>
  </si>
  <si>
    <t>Key Characteristics of the Veteran Population Statistic Veteran Cohorts All Veterans All Non_x0002_Post-9/11 Pre-9/11 Veterans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</si>
</sst>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quot;$&quot;#,##0"/>
    <numFmt numFmtId="165" formatCode="_(* #,##0_);_(* \(#,##0\);_(* &quot;-&quot;??_);_(@_)"/>
    <numFmt numFmtId="166" formatCode="&quot;$&quot;#,##0.00"/>
    <numFmt numFmtId="167" formatCode="0.0%"/>
    <numFmt numFmtId="168" formatCode="_(&quot;$&quot;* #,##0_);_(&quot;$&quot;* \(#,##0\);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u/>
      <sz val="11"/>
      <color theme="10"/>
      <name val="Calibri"/>
      <family val="2"/>
      <scheme val="minor"/>
    </font>
    <font>
      <b/>
      <sz val="12"/>
      <color theme="1"/>
      <name val="Calibri"/>
      <family val="2"/>
      <scheme val="minor"/>
    </font>
    <font>
      <i/>
      <sz val="11"/>
      <color theme="1"/>
      <name val="Calibri"/>
      <family val="2"/>
      <scheme val="minor"/>
    </font>
    <font>
      <sz val="11"/>
      <color rgb="FF000000"/>
      <name val="Calibri"/>
      <family val="2"/>
      <scheme val="minor"/>
    </font>
    <font>
      <b/>
      <sz val="14"/>
      <color theme="1"/>
      <name val="Calibri"/>
      <family val="2"/>
      <scheme val="minor"/>
    </font>
    <font>
      <b/>
      <sz val="16"/>
      <color theme="1"/>
      <name val="Calibri"/>
      <family val="2"/>
      <scheme val="minor"/>
    </font>
    <font>
      <b/>
      <i/>
      <sz val="11"/>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999999"/>
      </left>
      <right style="thin">
        <color rgb="FF999999"/>
      </right>
      <top/>
      <bottom/>
      <diagonal/>
    </border>
    <border>
      <left/>
      <right style="thin">
        <color indexed="64"/>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cellStyleXfs>
  <cellXfs count="41">
    <xf numFmtId="0" fontId="0" fillId="0" borderId="0" xfId="0"/>
    <xf numFmtId="164" fontId="0" fillId="0" borderId="0" xfId="0" applyNumberFormat="1"/>
    <xf numFmtId="165" fontId="0" fillId="0" borderId="0" xfId="1" applyNumberFormat="1" applyFont="1"/>
    <xf numFmtId="0" fontId="4" fillId="0" borderId="1" xfId="3" applyFont="1" applyBorder="1"/>
    <xf numFmtId="0" fontId="2" fillId="0" borderId="1" xfId="0" applyFont="1" applyBorder="1"/>
    <xf numFmtId="0" fontId="0" fillId="0" borderId="1" xfId="0" applyBorder="1"/>
    <xf numFmtId="0" fontId="5" fillId="0" borderId="2" xfId="0" applyFont="1" applyBorder="1" applyAlignment="1">
      <alignment horizontal="center"/>
    </xf>
    <xf numFmtId="0" fontId="2" fillId="0" borderId="0" xfId="0" applyFont="1"/>
    <xf numFmtId="164" fontId="2" fillId="0" borderId="0" xfId="0" applyNumberFormat="1" applyFont="1"/>
    <xf numFmtId="165" fontId="2" fillId="0" borderId="0" xfId="1" applyNumberFormat="1" applyFont="1"/>
    <xf numFmtId="3" fontId="0" fillId="0" borderId="0" xfId="0" applyNumberFormat="1"/>
    <xf numFmtId="2" fontId="2" fillId="0" borderId="0" xfId="0" applyNumberFormat="1" applyFont="1"/>
    <xf numFmtId="9" fontId="0" fillId="0" borderId="0" xfId="2" applyFont="1"/>
    <xf numFmtId="2" fontId="0" fillId="0" borderId="0" xfId="0" applyNumberFormat="1"/>
    <xf numFmtId="164" fontId="0" fillId="0" borderId="0" xfId="1" applyNumberFormat="1" applyFont="1"/>
    <xf numFmtId="166" fontId="0" fillId="0" borderId="0" xfId="0" applyNumberFormat="1"/>
    <xf numFmtId="3" fontId="2" fillId="0" borderId="0" xfId="0" applyNumberFormat="1" applyFont="1"/>
    <xf numFmtId="165" fontId="6" fillId="0" borderId="0" xfId="1" applyNumberFormat="1" applyFont="1"/>
    <xf numFmtId="164" fontId="0" fillId="0" borderId="0" xfId="0" applyNumberFormat="1" applyAlignment="1">
      <alignment wrapText="1"/>
    </xf>
    <xf numFmtId="165" fontId="0" fillId="0" borderId="0" xfId="1" applyNumberFormat="1" applyFont="1" applyAlignment="1">
      <alignment horizontal="right"/>
    </xf>
    <xf numFmtId="165" fontId="0" fillId="0" borderId="0" xfId="0" applyNumberFormat="1" applyAlignment="1">
      <alignment horizontal="left" indent="1"/>
    </xf>
    <xf numFmtId="17" fontId="0" fillId="0" borderId="0" xfId="0" applyNumberFormat="1" applyFont="1"/>
    <xf numFmtId="165" fontId="0" fillId="0" borderId="0" xfId="0" applyNumberFormat="1"/>
    <xf numFmtId="167" fontId="0" fillId="0" borderId="0" xfId="2" applyNumberFormat="1" applyFont="1"/>
    <xf numFmtId="164" fontId="0" fillId="0" borderId="0" xfId="0" applyNumberFormat="1" applyAlignment="1">
      <alignment horizontal="right" wrapText="1"/>
    </xf>
    <xf numFmtId="3" fontId="0" fillId="0" borderId="3" xfId="0" applyNumberFormat="1" applyBorder="1"/>
    <xf numFmtId="0" fontId="7" fillId="0" borderId="0" xfId="0" applyFont="1"/>
    <xf numFmtId="164" fontId="8" fillId="0" borderId="0" xfId="0" applyNumberFormat="1" applyFont="1"/>
    <xf numFmtId="2" fontId="9" fillId="0" borderId="0" xfId="0" applyNumberFormat="1" applyFont="1"/>
    <xf numFmtId="0" fontId="3" fillId="0" borderId="1" xfId="3" applyBorder="1"/>
    <xf numFmtId="0" fontId="6" fillId="0" borderId="0" xfId="0" applyFont="1"/>
    <xf numFmtId="3" fontId="5" fillId="0" borderId="0" xfId="0" applyNumberFormat="1" applyFont="1"/>
    <xf numFmtId="165" fontId="10" fillId="0" borderId="0" xfId="1" applyNumberFormat="1" applyFont="1"/>
    <xf numFmtId="0" fontId="3" fillId="0" borderId="4" xfId="3" applyBorder="1"/>
    <xf numFmtId="9" fontId="0" fillId="0" borderId="0" xfId="2" applyNumberFormat="1" applyFont="1"/>
    <xf numFmtId="9" fontId="0" fillId="0" borderId="0" xfId="0" applyNumberFormat="1"/>
    <xf numFmtId="168" fontId="0" fillId="0" borderId="0" xfId="4" applyNumberFormat="1" applyFont="1"/>
    <xf numFmtId="166" fontId="2" fillId="0" borderId="0" xfId="0" applyNumberFormat="1" applyFont="1"/>
    <xf numFmtId="1" fontId="2" fillId="0" borderId="0" xfId="1" applyNumberFormat="1" applyFont="1"/>
    <xf numFmtId="0" fontId="9" fillId="0" borderId="0" xfId="0" applyFont="1" applyAlignment="1">
      <alignment vertical="top" wrapText="1"/>
    </xf>
    <xf numFmtId="10" fontId="0" fillId="0" borderId="0" xfId="0" applyNumberFormat="1"/>
  </cellXfs>
  <cellStyles count="5">
    <cellStyle name="Comma" xfId="1" builtinId="3"/>
    <cellStyle name="Currency" xfId="4"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a.gov/vetdata/veteran_population.asp" TargetMode="External"/><Relationship Id="rId2" Type="http://schemas.openxmlformats.org/officeDocument/2006/relationships/hyperlink" Target="https://dss.mo.gov/re/fsd_mhdmr.htm" TargetMode="External"/><Relationship Id="rId1" Type="http://schemas.openxmlformats.org/officeDocument/2006/relationships/hyperlink" Target="https://www.census.gov/quickfacts/MO" TargetMode="External"/><Relationship Id="rId6" Type="http://schemas.openxmlformats.org/officeDocument/2006/relationships/printerSettings" Target="../printerSettings/printerSettings1.bin"/><Relationship Id="rId5" Type="http://schemas.openxmlformats.org/officeDocument/2006/relationships/hyperlink" Target="https://www.va.gov/vetdata/docs/SpecialReports/State_Summaries_Missouri.pdf" TargetMode="External"/><Relationship Id="rId4" Type="http://schemas.openxmlformats.org/officeDocument/2006/relationships/hyperlink" Target="https://dss.mo.gov/mis/cqfact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a.gov/vetdata/veteran_population.asp" TargetMode="External"/><Relationship Id="rId2" Type="http://schemas.openxmlformats.org/officeDocument/2006/relationships/hyperlink" Target="https://dss.mo.gov/re/fsd_mhdmr.htm" TargetMode="External"/><Relationship Id="rId1" Type="http://schemas.openxmlformats.org/officeDocument/2006/relationships/hyperlink" Target="https://www.census.gov/quickfacts/MO" TargetMode="External"/><Relationship Id="rId5" Type="http://schemas.openxmlformats.org/officeDocument/2006/relationships/printerSettings" Target="../printerSettings/printerSettings2.bin"/><Relationship Id="rId4" Type="http://schemas.openxmlformats.org/officeDocument/2006/relationships/hyperlink" Target="https://dss.mo.gov/mis/cqfac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5"/>
  <sheetViews>
    <sheetView tabSelected="1" zoomScale="115" zoomScaleNormal="115" workbookViewId="0">
      <pane ySplit="1" topLeftCell="A2" activePane="bottomLeft" state="frozen"/>
      <selection activeCell="B1" sqref="B1"/>
      <selection pane="bottomLeft" activeCell="A18" sqref="A18"/>
    </sheetView>
  </sheetViews>
  <sheetFormatPr defaultRowHeight="15" x14ac:dyDescent="0.25"/>
  <cols>
    <col min="1" max="1" width="81.5703125" bestFit="1" customWidth="1"/>
    <col min="2" max="2" width="18.7109375" bestFit="1" customWidth="1"/>
    <col min="3" max="3" width="29.28515625" customWidth="1"/>
    <col min="4" max="4" width="4.28515625" customWidth="1"/>
    <col min="5" max="5" width="19.28515625" style="2" customWidth="1"/>
    <col min="6" max="6" width="11.7109375" style="2" bestFit="1" customWidth="1"/>
    <col min="7" max="7" width="20" style="14" customWidth="1"/>
    <col min="8" max="8" width="17.5703125" style="1" customWidth="1"/>
    <col min="9" max="9" width="68" customWidth="1"/>
  </cols>
  <sheetData>
    <row r="1" spans="1:9" s="7" customFormat="1" x14ac:dyDescent="0.25">
      <c r="A1" s="7" t="s">
        <v>70</v>
      </c>
      <c r="E1" s="9" t="s">
        <v>104</v>
      </c>
      <c r="F1" s="9" t="s">
        <v>73</v>
      </c>
      <c r="G1" s="8" t="s">
        <v>121</v>
      </c>
      <c r="H1" s="8" t="s">
        <v>120</v>
      </c>
      <c r="I1" s="7" t="s">
        <v>71</v>
      </c>
    </row>
    <row r="2" spans="1:9" x14ac:dyDescent="0.25">
      <c r="A2" s="26"/>
      <c r="F2" s="2">
        <v>23</v>
      </c>
      <c r="G2" s="1"/>
      <c r="I2" t="s">
        <v>80</v>
      </c>
    </row>
    <row r="3" spans="1:9" x14ac:dyDescent="0.25">
      <c r="A3" t="s">
        <v>65</v>
      </c>
      <c r="B3" s="2">
        <v>36696</v>
      </c>
      <c r="E3" s="2">
        <v>82605</v>
      </c>
      <c r="F3" s="2">
        <v>83711</v>
      </c>
      <c r="G3" s="1">
        <f t="shared" ref="G3:G32" si="0">H3*12</f>
        <v>615666468.72000003</v>
      </c>
      <c r="H3" s="1">
        <v>51305539.060000002</v>
      </c>
      <c r="I3" t="s">
        <v>67</v>
      </c>
    </row>
    <row r="4" spans="1:9" x14ac:dyDescent="0.25">
      <c r="A4" t="s">
        <v>63</v>
      </c>
      <c r="B4" s="25">
        <v>426190.35349216103</v>
      </c>
      <c r="E4" s="2">
        <v>162742</v>
      </c>
      <c r="G4" s="1">
        <f t="shared" si="0"/>
        <v>5112032002.3199997</v>
      </c>
      <c r="H4" s="1">
        <v>426002666.86000001</v>
      </c>
      <c r="I4" t="s">
        <v>105</v>
      </c>
    </row>
    <row r="5" spans="1:9" x14ac:dyDescent="0.25">
      <c r="F5" s="2">
        <v>36972</v>
      </c>
      <c r="G5" s="1">
        <f>H5*12</f>
        <v>0</v>
      </c>
      <c r="I5" t="s">
        <v>101</v>
      </c>
    </row>
    <row r="6" spans="1:9" x14ac:dyDescent="0.25">
      <c r="A6" t="s">
        <v>60</v>
      </c>
      <c r="B6" s="2">
        <v>6137428</v>
      </c>
      <c r="E6" s="2">
        <v>1301</v>
      </c>
      <c r="F6" s="2">
        <v>1061</v>
      </c>
      <c r="G6" s="1">
        <f>H6*12</f>
        <v>30081124.559999999</v>
      </c>
      <c r="H6" s="1">
        <v>2506760.38</v>
      </c>
      <c r="I6" t="s">
        <v>94</v>
      </c>
    </row>
    <row r="7" spans="1:9" x14ac:dyDescent="0.25">
      <c r="A7" t="s">
        <v>59</v>
      </c>
      <c r="B7" s="2">
        <f>77.5%*6137428</f>
        <v>4756506.7</v>
      </c>
      <c r="E7" s="2">
        <f>19+9431</f>
        <v>9450</v>
      </c>
      <c r="F7" s="2">
        <v>22609</v>
      </c>
      <c r="G7" s="1">
        <f>H7*12</f>
        <v>17354961.600000001</v>
      </c>
      <c r="H7" s="1">
        <v>1446246.8</v>
      </c>
      <c r="I7" s="30" t="s">
        <v>100</v>
      </c>
    </row>
    <row r="8" spans="1:9" x14ac:dyDescent="0.25">
      <c r="A8" t="s">
        <v>57</v>
      </c>
      <c r="F8" s="2">
        <v>166443</v>
      </c>
      <c r="G8" s="1">
        <f t="shared" si="0"/>
        <v>0</v>
      </c>
      <c r="I8" t="s">
        <v>98</v>
      </c>
    </row>
    <row r="9" spans="1:9" x14ac:dyDescent="0.25">
      <c r="A9" t="s">
        <v>55</v>
      </c>
      <c r="B9" s="23">
        <f>8.11%*9.8%</f>
        <v>7.9477999999999997E-3</v>
      </c>
      <c r="F9" s="2">
        <v>31421</v>
      </c>
      <c r="G9" s="1">
        <f t="shared" si="0"/>
        <v>0</v>
      </c>
      <c r="I9" t="s">
        <v>97</v>
      </c>
    </row>
    <row r="10" spans="1:9" x14ac:dyDescent="0.25">
      <c r="A10" t="s">
        <v>53</v>
      </c>
      <c r="B10" s="23">
        <v>8.1000000000000003E-2</v>
      </c>
      <c r="F10" s="2">
        <v>19</v>
      </c>
      <c r="G10" s="1">
        <f t="shared" si="0"/>
        <v>0</v>
      </c>
      <c r="I10" t="s">
        <v>95</v>
      </c>
    </row>
    <row r="11" spans="1:9" x14ac:dyDescent="0.25">
      <c r="F11" s="2">
        <v>7</v>
      </c>
      <c r="G11" s="1">
        <f t="shared" si="0"/>
        <v>0</v>
      </c>
      <c r="I11" t="s">
        <v>96</v>
      </c>
    </row>
    <row r="12" spans="1:9" x14ac:dyDescent="0.25">
      <c r="A12" t="s">
        <v>116</v>
      </c>
      <c r="B12" s="2">
        <v>907809</v>
      </c>
      <c r="F12" s="2">
        <v>6831</v>
      </c>
      <c r="G12" s="1">
        <f t="shared" si="0"/>
        <v>0</v>
      </c>
      <c r="I12" t="s">
        <v>99</v>
      </c>
    </row>
    <row r="13" spans="1:9" x14ac:dyDescent="0.25">
      <c r="A13" t="s">
        <v>117</v>
      </c>
      <c r="B13" s="22">
        <f>F58</f>
        <v>1061521</v>
      </c>
      <c r="E13" s="2">
        <v>2726</v>
      </c>
      <c r="F13" s="2">
        <v>2716</v>
      </c>
      <c r="G13" s="1">
        <f t="shared" si="0"/>
        <v>24838808.280000001</v>
      </c>
      <c r="H13" s="1">
        <v>2069900.69</v>
      </c>
      <c r="I13" t="s">
        <v>58</v>
      </c>
    </row>
    <row r="14" spans="1:9" x14ac:dyDescent="0.25">
      <c r="A14" t="s">
        <v>119</v>
      </c>
      <c r="B14" s="22">
        <f>B13-B12</f>
        <v>153712</v>
      </c>
      <c r="E14" s="2">
        <v>145</v>
      </c>
      <c r="G14" s="1">
        <f t="shared" si="0"/>
        <v>2896276.56</v>
      </c>
      <c r="H14" s="1">
        <v>241356.38</v>
      </c>
      <c r="I14" t="s">
        <v>20</v>
      </c>
    </row>
    <row r="15" spans="1:9" x14ac:dyDescent="0.25">
      <c r="A15" t="s">
        <v>115</v>
      </c>
      <c r="B15" s="22">
        <f>E58</f>
        <v>951858</v>
      </c>
      <c r="D15" s="1"/>
      <c r="E15" s="2">
        <v>12852</v>
      </c>
      <c r="F15" s="2">
        <v>12968</v>
      </c>
      <c r="G15" s="1">
        <f t="shared" si="0"/>
        <v>27194963.759999998</v>
      </c>
      <c r="H15" s="1">
        <v>2266246.98</v>
      </c>
      <c r="I15" t="s">
        <v>56</v>
      </c>
    </row>
    <row r="16" spans="1:9" x14ac:dyDescent="0.25">
      <c r="A16" t="s">
        <v>118</v>
      </c>
      <c r="B16" s="22">
        <f>B15-B12</f>
        <v>44049</v>
      </c>
      <c r="E16" s="2">
        <v>1881</v>
      </c>
      <c r="F16" s="2">
        <v>1892</v>
      </c>
      <c r="G16" s="1">
        <f t="shared" si="0"/>
        <v>59418893.760000005</v>
      </c>
      <c r="H16" s="1">
        <v>4951574.4800000004</v>
      </c>
      <c r="I16" t="s">
        <v>54</v>
      </c>
    </row>
    <row r="17" spans="1:9" x14ac:dyDescent="0.25">
      <c r="E17" s="2">
        <v>349</v>
      </c>
      <c r="F17" s="2">
        <v>352</v>
      </c>
      <c r="G17" s="1">
        <f t="shared" si="0"/>
        <v>15368599.559999999</v>
      </c>
      <c r="H17" s="1">
        <v>1280716.6299999999</v>
      </c>
      <c r="I17" t="s">
        <v>52</v>
      </c>
    </row>
    <row r="18" spans="1:9" x14ac:dyDescent="0.25">
      <c r="C18" s="22"/>
      <c r="G18" s="1">
        <f t="shared" si="0"/>
        <v>0</v>
      </c>
    </row>
    <row r="19" spans="1:9" x14ac:dyDescent="0.25">
      <c r="A19" t="s">
        <v>103</v>
      </c>
      <c r="B19" s="20">
        <f>(E31*B9)+(B9*E19)</f>
        <v>2737.2302677999996</v>
      </c>
      <c r="C19" s="22"/>
      <c r="E19" s="32">
        <f>SUM(E2:E18)</f>
        <v>274051</v>
      </c>
      <c r="F19" s="9">
        <f>SUM(F2:F18)</f>
        <v>367025</v>
      </c>
      <c r="G19" s="1">
        <f t="shared" si="0"/>
        <v>5904852099.1200008</v>
      </c>
      <c r="H19" s="8">
        <f>SUM(H2:H18)</f>
        <v>492071008.26000005</v>
      </c>
      <c r="I19" s="7" t="s">
        <v>102</v>
      </c>
    </row>
    <row r="20" spans="1:9" x14ac:dyDescent="0.25">
      <c r="A20" s="7" t="s">
        <v>113</v>
      </c>
      <c r="B20" s="38">
        <f>((B10-B9)*E19)+(B9*E19)+B19</f>
        <v>24935.361267799999</v>
      </c>
      <c r="G20" s="1">
        <f t="shared" si="0"/>
        <v>0</v>
      </c>
    </row>
    <row r="21" spans="1:9" x14ac:dyDescent="0.25">
      <c r="B21" s="20"/>
      <c r="E21" s="2">
        <v>2290</v>
      </c>
      <c r="F21" s="2">
        <v>2195</v>
      </c>
      <c r="G21" s="1">
        <f t="shared" si="0"/>
        <v>43973363.039999999</v>
      </c>
      <c r="H21" s="1">
        <v>3664446.92</v>
      </c>
      <c r="I21" t="s">
        <v>89</v>
      </c>
    </row>
    <row r="22" spans="1:9" x14ac:dyDescent="0.25">
      <c r="A22" t="s">
        <v>46</v>
      </c>
      <c r="B22" s="34">
        <f>E33/E58</f>
        <v>0.36181972521111344</v>
      </c>
      <c r="F22" s="2">
        <v>105</v>
      </c>
      <c r="G22" s="1">
        <f t="shared" si="0"/>
        <v>0</v>
      </c>
      <c r="I22" t="s">
        <v>90</v>
      </c>
    </row>
    <row r="23" spans="1:9" x14ac:dyDescent="0.25">
      <c r="A23" t="s">
        <v>44</v>
      </c>
      <c r="B23" s="23">
        <f>B10</f>
        <v>8.1000000000000003E-2</v>
      </c>
      <c r="F23" s="2">
        <v>39600</v>
      </c>
      <c r="G23" s="1">
        <f t="shared" si="0"/>
        <v>0</v>
      </c>
      <c r="I23" t="s">
        <v>86</v>
      </c>
    </row>
    <row r="24" spans="1:9" x14ac:dyDescent="0.25">
      <c r="A24" s="13" t="s">
        <v>36</v>
      </c>
      <c r="B24" s="12">
        <f>G56/G58</f>
        <v>0.32590334968745499</v>
      </c>
      <c r="F24" s="2">
        <v>22657</v>
      </c>
      <c r="G24" s="1">
        <f t="shared" si="0"/>
        <v>0</v>
      </c>
      <c r="I24" t="s">
        <v>109</v>
      </c>
    </row>
    <row r="25" spans="1:9" x14ac:dyDescent="0.25">
      <c r="A25" s="13" t="s">
        <v>42</v>
      </c>
      <c r="B25" s="12"/>
      <c r="F25" s="2">
        <v>16450</v>
      </c>
      <c r="G25" s="1">
        <f t="shared" si="0"/>
        <v>0</v>
      </c>
      <c r="I25" t="s">
        <v>87</v>
      </c>
    </row>
    <row r="26" spans="1:9" x14ac:dyDescent="0.25">
      <c r="A26" s="13" t="s">
        <v>41</v>
      </c>
      <c r="B26" s="12"/>
      <c r="E26" s="2">
        <v>48722</v>
      </c>
      <c r="F26" s="2">
        <v>35402</v>
      </c>
      <c r="G26" s="1">
        <f t="shared" si="0"/>
        <v>6136343.1600000001</v>
      </c>
      <c r="H26" s="1">
        <v>511361.93</v>
      </c>
      <c r="I26" t="s">
        <v>88</v>
      </c>
    </row>
    <row r="27" spans="1:9" x14ac:dyDescent="0.25">
      <c r="A27" s="13" t="s">
        <v>122</v>
      </c>
      <c r="B27" s="12">
        <f>G33/G58</f>
        <v>0.67409665031254518</v>
      </c>
      <c r="E27" s="2">
        <v>4344</v>
      </c>
      <c r="F27" s="2">
        <v>4671</v>
      </c>
      <c r="G27" s="1">
        <f t="shared" si="0"/>
        <v>23203625.039999999</v>
      </c>
      <c r="H27" s="1">
        <v>1933635.42</v>
      </c>
      <c r="I27" t="s">
        <v>45</v>
      </c>
    </row>
    <row r="28" spans="1:9" x14ac:dyDescent="0.25">
      <c r="A28" s="13" t="s">
        <v>38</v>
      </c>
      <c r="B28" s="12">
        <f>G56/G58</f>
        <v>0.32590334968745499</v>
      </c>
      <c r="E28" s="2">
        <v>14994</v>
      </c>
      <c r="G28" s="1">
        <f t="shared" si="0"/>
        <v>121379756.03999999</v>
      </c>
      <c r="H28" s="1">
        <v>10114979.67</v>
      </c>
      <c r="I28" t="s">
        <v>106</v>
      </c>
    </row>
    <row r="29" spans="1:9" x14ac:dyDescent="0.25">
      <c r="A29" s="13"/>
      <c r="B29" s="12"/>
      <c r="G29" s="1">
        <f t="shared" si="0"/>
        <v>0</v>
      </c>
    </row>
    <row r="30" spans="1:9" x14ac:dyDescent="0.25">
      <c r="B30" s="12"/>
      <c r="G30" s="1">
        <f t="shared" si="0"/>
        <v>0</v>
      </c>
    </row>
    <row r="31" spans="1:9" x14ac:dyDescent="0.25">
      <c r="A31" s="13" t="s">
        <v>123</v>
      </c>
      <c r="B31" s="14">
        <f>G58</f>
        <v>9048472772.5200005</v>
      </c>
      <c r="C31" s="1"/>
      <c r="E31" s="17">
        <f>SUM(E21:E30)</f>
        <v>70350</v>
      </c>
      <c r="F31" s="2">
        <f>SUM(F21:F30)</f>
        <v>121080</v>
      </c>
      <c r="G31" s="1">
        <f t="shared" si="0"/>
        <v>194693087.28</v>
      </c>
      <c r="H31" s="8">
        <f>SUM(H21:H30)</f>
        <v>16224423.939999999</v>
      </c>
      <c r="I31" s="7" t="s">
        <v>40</v>
      </c>
    </row>
    <row r="32" spans="1:9" x14ac:dyDescent="0.25">
      <c r="A32" s="13" t="s">
        <v>34</v>
      </c>
      <c r="B32" s="12">
        <f>6040000000/9270000000</f>
        <v>0.65156418554476803</v>
      </c>
      <c r="G32" s="1">
        <f t="shared" si="0"/>
        <v>0</v>
      </c>
    </row>
    <row r="33" spans="1:9" ht="15.75" x14ac:dyDescent="0.25">
      <c r="A33" s="13" t="s">
        <v>124</v>
      </c>
      <c r="B33" s="35">
        <f>1-B32</f>
        <v>0.34843581445523197</v>
      </c>
      <c r="E33" s="9">
        <f>E31+E19</f>
        <v>344401</v>
      </c>
      <c r="F33" s="9">
        <f>F19+F31</f>
        <v>488105</v>
      </c>
      <c r="G33" s="37">
        <f>H33*12</f>
        <v>6099545186.4000006</v>
      </c>
      <c r="H33" s="8">
        <f>H31+H19</f>
        <v>508295432.20000005</v>
      </c>
      <c r="I33" s="31" t="s">
        <v>37</v>
      </c>
    </row>
    <row r="34" spans="1:9" x14ac:dyDescent="0.25">
      <c r="A34" s="13" t="s">
        <v>33</v>
      </c>
      <c r="B34" s="1">
        <f>B33*B31</f>
        <v>3152811980.0689974</v>
      </c>
      <c r="E34" s="9"/>
      <c r="F34" s="9"/>
      <c r="G34" s="1"/>
      <c r="I34" s="16"/>
    </row>
    <row r="35" spans="1:9" x14ac:dyDescent="0.25">
      <c r="A35" s="13" t="s">
        <v>32</v>
      </c>
      <c r="B35" s="1">
        <f>G19</f>
        <v>5904852099.1200008</v>
      </c>
      <c r="G35" s="1"/>
      <c r="H35" s="15"/>
    </row>
    <row r="36" spans="1:9" x14ac:dyDescent="0.25">
      <c r="A36" s="13" t="s">
        <v>31</v>
      </c>
      <c r="B36" s="1">
        <f>G31</f>
        <v>194693087.28</v>
      </c>
      <c r="G36" s="1"/>
    </row>
    <row r="37" spans="1:9" x14ac:dyDescent="0.25">
      <c r="A37" s="13" t="s">
        <v>30</v>
      </c>
      <c r="B37" s="1">
        <f>G33</f>
        <v>6099545186.4000006</v>
      </c>
      <c r="G37" s="1"/>
    </row>
    <row r="38" spans="1:9" x14ac:dyDescent="0.25">
      <c r="B38" s="1"/>
      <c r="F38" s="2">
        <v>57</v>
      </c>
      <c r="G38" s="1"/>
      <c r="I38" t="s">
        <v>81</v>
      </c>
    </row>
    <row r="39" spans="1:9" x14ac:dyDescent="0.25">
      <c r="A39" s="13" t="s">
        <v>27</v>
      </c>
      <c r="B39" s="1">
        <f>B36*B9</f>
        <v>1547381.7190839839</v>
      </c>
      <c r="F39" s="2">
        <v>1129</v>
      </c>
      <c r="G39" s="1"/>
      <c r="I39" t="s">
        <v>91</v>
      </c>
    </row>
    <row r="40" spans="1:9" x14ac:dyDescent="0.25">
      <c r="A40" s="13" t="s">
        <v>25</v>
      </c>
      <c r="B40" s="15">
        <f>(B10*B35)</f>
        <v>478293020.02872008</v>
      </c>
      <c r="F40" s="2">
        <v>328</v>
      </c>
      <c r="G40" s="1"/>
      <c r="I40" t="s">
        <v>92</v>
      </c>
    </row>
    <row r="41" spans="1:9" ht="18.75" x14ac:dyDescent="0.3">
      <c r="A41" s="11" t="s">
        <v>23</v>
      </c>
      <c r="B41" s="27">
        <f>SUM(B39:B40)</f>
        <v>479840401.74780405</v>
      </c>
      <c r="F41" s="2">
        <v>321789</v>
      </c>
      <c r="G41" s="1"/>
      <c r="I41" t="s">
        <v>82</v>
      </c>
    </row>
    <row r="42" spans="1:9" x14ac:dyDescent="0.25">
      <c r="A42" t="s">
        <v>21</v>
      </c>
      <c r="B42" s="36">
        <f>B33*B31</f>
        <v>3152811980.0689974</v>
      </c>
      <c r="F42" s="2">
        <v>45362</v>
      </c>
      <c r="G42" s="1"/>
      <c r="I42" t="s">
        <v>85</v>
      </c>
    </row>
    <row r="43" spans="1:9" ht="21" x14ac:dyDescent="0.35">
      <c r="A43" s="28" t="s">
        <v>79</v>
      </c>
      <c r="B43" s="27">
        <f>(B33*B41)</f>
        <v>167193581.19152182</v>
      </c>
      <c r="F43" s="2">
        <v>2041</v>
      </c>
      <c r="G43" s="1"/>
      <c r="I43" t="s">
        <v>83</v>
      </c>
    </row>
    <row r="44" spans="1:9" ht="18.75" x14ac:dyDescent="0.3">
      <c r="A44" s="7" t="s">
        <v>4</v>
      </c>
      <c r="B44" s="27"/>
      <c r="F44" s="2">
        <v>32594</v>
      </c>
      <c r="G44" s="1"/>
      <c r="I44" t="s">
        <v>84</v>
      </c>
    </row>
    <row r="45" spans="1:9" x14ac:dyDescent="0.25">
      <c r="G45" s="1"/>
    </row>
    <row r="46" spans="1:9" x14ac:dyDescent="0.25">
      <c r="E46" s="2">
        <v>1232</v>
      </c>
      <c r="F46" s="2">
        <v>549</v>
      </c>
      <c r="G46" s="1">
        <f>H46*12</f>
        <v>3984777.96</v>
      </c>
      <c r="H46" s="1">
        <v>332064.83</v>
      </c>
      <c r="I46" t="s">
        <v>17</v>
      </c>
    </row>
    <row r="47" spans="1:9" x14ac:dyDescent="0.25">
      <c r="A47" t="s">
        <v>128</v>
      </c>
      <c r="E47" s="2">
        <v>13946</v>
      </c>
      <c r="G47" s="1">
        <f t="shared" ref="G47:G56" si="1">H47*12</f>
        <v>261675831.36000001</v>
      </c>
      <c r="H47" s="1">
        <v>21806319.280000001</v>
      </c>
      <c r="I47" t="s">
        <v>26</v>
      </c>
    </row>
    <row r="48" spans="1:9" x14ac:dyDescent="0.25">
      <c r="A48" t="s">
        <v>14</v>
      </c>
      <c r="E48" s="2">
        <v>34807</v>
      </c>
      <c r="G48" s="1">
        <f t="shared" si="1"/>
        <v>148393775.75999999</v>
      </c>
      <c r="H48" s="1">
        <v>12366147.98</v>
      </c>
      <c r="I48" t="s">
        <v>18</v>
      </c>
    </row>
    <row r="49" spans="1:9" x14ac:dyDescent="0.25">
      <c r="A49" t="s">
        <v>78</v>
      </c>
      <c r="E49" s="2">
        <v>331</v>
      </c>
      <c r="G49" s="1">
        <f t="shared" si="1"/>
        <v>22395406.32</v>
      </c>
      <c r="H49" s="1">
        <v>1866283.86</v>
      </c>
      <c r="I49" t="s">
        <v>111</v>
      </c>
    </row>
    <row r="50" spans="1:9" x14ac:dyDescent="0.25">
      <c r="A50" t="s">
        <v>125</v>
      </c>
      <c r="E50" s="2">
        <v>168235</v>
      </c>
      <c r="F50" s="2">
        <v>168766</v>
      </c>
      <c r="G50" s="1">
        <f t="shared" si="1"/>
        <v>575600643.36000001</v>
      </c>
      <c r="H50" s="1">
        <v>47966720.280000001</v>
      </c>
      <c r="I50" t="s">
        <v>13</v>
      </c>
    </row>
    <row r="51" spans="1:9" x14ac:dyDescent="0.25">
      <c r="A51" t="s">
        <v>126</v>
      </c>
      <c r="E51" s="2">
        <v>361911</v>
      </c>
      <c r="G51" s="1">
        <f t="shared" si="1"/>
        <v>1663776895.5599999</v>
      </c>
      <c r="H51" s="1">
        <v>138648074.63</v>
      </c>
      <c r="I51" t="s">
        <v>110</v>
      </c>
    </row>
    <row r="52" spans="1:9" x14ac:dyDescent="0.25">
      <c r="A52" t="s">
        <v>127</v>
      </c>
      <c r="E52" s="2">
        <v>23372</v>
      </c>
      <c r="G52" s="1">
        <f t="shared" si="1"/>
        <v>215652732.36000001</v>
      </c>
      <c r="H52" s="1">
        <v>17971061.030000001</v>
      </c>
      <c r="I52" t="s">
        <v>107</v>
      </c>
    </row>
    <row r="53" spans="1:9" x14ac:dyDescent="0.25">
      <c r="B53" s="10"/>
      <c r="E53" s="2">
        <v>218</v>
      </c>
      <c r="G53" s="1">
        <f t="shared" si="1"/>
        <v>2543559.96</v>
      </c>
      <c r="H53" s="1">
        <v>211963.33</v>
      </c>
      <c r="I53" t="s">
        <v>108</v>
      </c>
    </row>
    <row r="54" spans="1:9" x14ac:dyDescent="0.25">
      <c r="E54" s="2">
        <v>3295</v>
      </c>
      <c r="G54" s="1">
        <f t="shared" si="1"/>
        <v>54106466.519999996</v>
      </c>
      <c r="H54" s="1">
        <v>4508872.21</v>
      </c>
      <c r="I54" t="s">
        <v>112</v>
      </c>
    </row>
    <row r="55" spans="1:9" ht="15.75" x14ac:dyDescent="0.25">
      <c r="A55" s="6" t="s">
        <v>10</v>
      </c>
      <c r="E55" s="2">
        <v>110</v>
      </c>
      <c r="F55" s="2">
        <v>801</v>
      </c>
      <c r="G55" s="1">
        <f t="shared" si="1"/>
        <v>797496.96</v>
      </c>
      <c r="H55" s="1">
        <v>66458.080000000002</v>
      </c>
      <c r="I55" t="s">
        <v>93</v>
      </c>
    </row>
    <row r="56" spans="1:9" x14ac:dyDescent="0.25">
      <c r="A56" s="5"/>
      <c r="E56" s="9">
        <f>SUM(E40:E55)</f>
        <v>607457</v>
      </c>
      <c r="F56" s="9">
        <f>SUM(F35:F55)</f>
        <v>573416</v>
      </c>
      <c r="G56" s="8">
        <f t="shared" si="1"/>
        <v>2948927586.1200008</v>
      </c>
      <c r="H56" s="8">
        <f>SUM(H42:H55)</f>
        <v>245743965.51000005</v>
      </c>
      <c r="I56" s="7" t="s">
        <v>12</v>
      </c>
    </row>
    <row r="57" spans="1:9" x14ac:dyDescent="0.25">
      <c r="A57" s="4" t="s">
        <v>9</v>
      </c>
      <c r="G57" s="1">
        <f>H57*12</f>
        <v>0</v>
      </c>
    </row>
    <row r="58" spans="1:9" x14ac:dyDescent="0.25">
      <c r="A58" s="4" t="s">
        <v>7</v>
      </c>
      <c r="E58" s="9">
        <f>E56+E33</f>
        <v>951858</v>
      </c>
      <c r="F58" s="9">
        <f>F56+F33</f>
        <v>1061521</v>
      </c>
      <c r="G58" s="8">
        <f>H58*12</f>
        <v>9048472772.5200005</v>
      </c>
      <c r="H58" s="8">
        <f>H56+H33</f>
        <v>754039397.71000004</v>
      </c>
      <c r="I58" s="7" t="s">
        <v>11</v>
      </c>
    </row>
    <row r="59" spans="1:9" x14ac:dyDescent="0.25">
      <c r="A59" s="29" t="s">
        <v>6</v>
      </c>
      <c r="G59" s="1"/>
    </row>
    <row r="60" spans="1:9" x14ac:dyDescent="0.25">
      <c r="A60" s="3" t="s">
        <v>5</v>
      </c>
      <c r="G60" s="1"/>
    </row>
    <row r="61" spans="1:9" x14ac:dyDescent="0.25">
      <c r="A61" s="5" t="s">
        <v>4</v>
      </c>
      <c r="G61" s="1"/>
    </row>
    <row r="62" spans="1:9" x14ac:dyDescent="0.25">
      <c r="A62" s="4" t="s">
        <v>129</v>
      </c>
      <c r="G62" s="1"/>
    </row>
    <row r="63" spans="1:9" x14ac:dyDescent="0.25">
      <c r="A63" s="33" t="s">
        <v>114</v>
      </c>
      <c r="G63" s="1"/>
      <c r="I63" t="s">
        <v>8</v>
      </c>
    </row>
    <row r="64" spans="1:9" x14ac:dyDescent="0.25">
      <c r="A64" s="29" t="s">
        <v>2</v>
      </c>
      <c r="C64" s="1"/>
      <c r="E64" s="9"/>
      <c r="G64" s="1"/>
    </row>
    <row r="65" spans="1:8" x14ac:dyDescent="0.25">
      <c r="A65" s="4" t="s">
        <v>1</v>
      </c>
      <c r="C65" s="1"/>
      <c r="G65" s="1"/>
    </row>
    <row r="66" spans="1:8" x14ac:dyDescent="0.25">
      <c r="A66" s="3" t="s">
        <v>0</v>
      </c>
      <c r="C66" s="1"/>
      <c r="E66" s="9"/>
      <c r="G66" s="1"/>
    </row>
    <row r="67" spans="1:8" x14ac:dyDescent="0.25">
      <c r="A67" s="2"/>
      <c r="B67" s="14"/>
      <c r="G67" s="1"/>
    </row>
    <row r="68" spans="1:8" x14ac:dyDescent="0.25">
      <c r="A68" s="2"/>
      <c r="B68" s="14"/>
      <c r="G68" s="1"/>
    </row>
    <row r="69" spans="1:8" x14ac:dyDescent="0.25">
      <c r="B69" s="14"/>
      <c r="G69" s="1"/>
    </row>
    <row r="70" spans="1:8" x14ac:dyDescent="0.25">
      <c r="G70" s="1"/>
    </row>
    <row r="71" spans="1:8" x14ac:dyDescent="0.25">
      <c r="G71" s="1"/>
    </row>
    <row r="79" spans="1:8" x14ac:dyDescent="0.25">
      <c r="E79"/>
      <c r="F79"/>
      <c r="G79"/>
      <c r="H79"/>
    </row>
    <row r="80" spans="1:8" x14ac:dyDescent="0.25">
      <c r="E80"/>
      <c r="F80"/>
      <c r="G80"/>
      <c r="H80"/>
    </row>
    <row r="81" spans="5:8" x14ac:dyDescent="0.25">
      <c r="E81"/>
      <c r="F81"/>
      <c r="G81"/>
      <c r="H81"/>
    </row>
    <row r="82" spans="5:8" ht="15" customHeight="1" x14ac:dyDescent="0.25"/>
    <row r="83" spans="5:8" ht="15" customHeight="1" x14ac:dyDescent="0.25"/>
    <row r="84" spans="5:8" ht="15.75" customHeight="1" x14ac:dyDescent="0.25"/>
    <row r="85" spans="5:8" ht="15" customHeight="1" x14ac:dyDescent="0.25"/>
  </sheetData>
  <hyperlinks>
    <hyperlink ref="A66" r:id="rId1"/>
    <hyperlink ref="A59" r:id="rId2"/>
    <hyperlink ref="A64" r:id="rId3"/>
    <hyperlink ref="A60" r:id="rId4"/>
    <hyperlink ref="A63" r:id="rId5"/>
  </hyperlinks>
  <pageMargins left="0.7" right="0.7" top="0.75" bottom="0.75" header="0.3" footer="0.3"/>
  <pageSetup orientation="portrait" verticalDpi="599"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topLeftCell="A28" workbookViewId="0">
      <selection activeCell="A23" sqref="A23"/>
    </sheetView>
  </sheetViews>
  <sheetFormatPr defaultRowHeight="15" x14ac:dyDescent="0.25"/>
  <cols>
    <col min="1" max="1" width="81.5703125" bestFit="1" customWidth="1"/>
    <col min="2" max="2" width="18.7109375" bestFit="1" customWidth="1"/>
    <col min="3" max="3" width="14.85546875" bestFit="1" customWidth="1"/>
    <col min="6" max="6" width="25.5703125" style="1" bestFit="1" customWidth="1"/>
    <col min="7" max="7" width="17.5703125" style="1" bestFit="1" customWidth="1"/>
    <col min="8" max="8" width="11.28515625" style="2" bestFit="1" customWidth="1"/>
    <col min="9" max="9" width="11.7109375" style="2" bestFit="1" customWidth="1"/>
    <col min="10" max="10" width="8.42578125" style="1" bestFit="1" customWidth="1"/>
    <col min="11" max="11" width="68" customWidth="1"/>
  </cols>
  <sheetData>
    <row r="1" spans="1:11" s="7" customFormat="1" x14ac:dyDescent="0.25">
      <c r="A1" s="7" t="s">
        <v>70</v>
      </c>
      <c r="F1" s="8" t="s">
        <v>76</v>
      </c>
      <c r="G1" s="8" t="s">
        <v>75</v>
      </c>
      <c r="H1" s="9" t="s">
        <v>74</v>
      </c>
      <c r="I1" s="9" t="s">
        <v>73</v>
      </c>
      <c r="J1" s="8" t="s">
        <v>72</v>
      </c>
      <c r="K1" s="7" t="s">
        <v>71</v>
      </c>
    </row>
    <row r="2" spans="1:11" x14ac:dyDescent="0.25">
      <c r="F2" s="1" t="s">
        <v>69</v>
      </c>
      <c r="G2" s="1" t="s">
        <v>69</v>
      </c>
      <c r="H2" s="2" t="s">
        <v>69</v>
      </c>
      <c r="I2" s="2" t="s">
        <v>69</v>
      </c>
      <c r="J2" s="1" t="s">
        <v>69</v>
      </c>
      <c r="K2" t="s">
        <v>68</v>
      </c>
    </row>
    <row r="3" spans="1:11" x14ac:dyDescent="0.25">
      <c r="F3" s="1">
        <f t="shared" ref="F3:F12" si="0">(J3*12)*I3</f>
        <v>500798765.27999997</v>
      </c>
      <c r="G3" s="1">
        <v>41733363.609999999</v>
      </c>
      <c r="H3" s="2">
        <v>67096</v>
      </c>
      <c r="I3" s="2">
        <v>69322</v>
      </c>
      <c r="J3" s="18">
        <v>602.02</v>
      </c>
      <c r="K3" t="s">
        <v>67</v>
      </c>
    </row>
    <row r="4" spans="1:11" x14ac:dyDescent="0.25">
      <c r="A4" s="26"/>
      <c r="F4" s="1">
        <f t="shared" si="0"/>
        <v>1811477702.4000001</v>
      </c>
      <c r="G4" s="1">
        <v>150956820.18000001</v>
      </c>
      <c r="H4" s="2">
        <v>68993</v>
      </c>
      <c r="I4" s="2">
        <v>77320</v>
      </c>
      <c r="J4" s="18">
        <v>1952.36</v>
      </c>
      <c r="K4" t="s">
        <v>66</v>
      </c>
    </row>
    <row r="5" spans="1:11" x14ac:dyDescent="0.25">
      <c r="A5" t="s">
        <v>65</v>
      </c>
      <c r="B5" s="2">
        <v>36696</v>
      </c>
      <c r="F5" s="1">
        <f t="shared" si="0"/>
        <v>5150408452.2000008</v>
      </c>
      <c r="G5" s="1">
        <v>429200512.36000001</v>
      </c>
      <c r="H5" s="2">
        <v>146792</v>
      </c>
      <c r="I5" s="2">
        <v>162327</v>
      </c>
      <c r="J5" s="18">
        <v>2644.05</v>
      </c>
      <c r="K5" t="s">
        <v>64</v>
      </c>
    </row>
    <row r="6" spans="1:11" x14ac:dyDescent="0.25">
      <c r="A6" t="s">
        <v>63</v>
      </c>
      <c r="B6" s="25">
        <v>426190.35349216103</v>
      </c>
      <c r="F6" s="1">
        <f t="shared" si="0"/>
        <v>32284895.760000002</v>
      </c>
      <c r="G6" s="1">
        <v>2690410.9</v>
      </c>
      <c r="H6" s="2">
        <v>1257</v>
      </c>
      <c r="I6" s="2">
        <v>1482</v>
      </c>
      <c r="J6" s="18">
        <v>1815.39</v>
      </c>
      <c r="K6" t="s">
        <v>62</v>
      </c>
    </row>
    <row r="7" spans="1:11" x14ac:dyDescent="0.25">
      <c r="F7" s="1">
        <f t="shared" si="0"/>
        <v>0</v>
      </c>
      <c r="G7" s="1">
        <v>1228742.3</v>
      </c>
      <c r="H7" s="2">
        <v>0</v>
      </c>
      <c r="I7" s="2">
        <v>0</v>
      </c>
      <c r="K7" t="s">
        <v>61</v>
      </c>
    </row>
    <row r="8" spans="1:11" x14ac:dyDescent="0.25">
      <c r="A8" t="s">
        <v>60</v>
      </c>
      <c r="B8" s="2">
        <v>6137428</v>
      </c>
      <c r="J8" s="24"/>
    </row>
    <row r="9" spans="1:11" x14ac:dyDescent="0.25">
      <c r="A9" t="s">
        <v>59</v>
      </c>
      <c r="B9" s="2">
        <f>77.5%*6137428</f>
        <v>4756506.7</v>
      </c>
      <c r="F9" s="1">
        <f t="shared" si="0"/>
        <v>26682400.080000002</v>
      </c>
      <c r="G9" s="1">
        <v>2223542.41</v>
      </c>
      <c r="H9" s="2">
        <v>2708</v>
      </c>
      <c r="I9" s="2">
        <v>1974</v>
      </c>
      <c r="J9" s="1">
        <v>1126.4100000000001</v>
      </c>
      <c r="K9" t="s">
        <v>58</v>
      </c>
    </row>
    <row r="10" spans="1:11" x14ac:dyDescent="0.25">
      <c r="A10" t="s">
        <v>57</v>
      </c>
      <c r="F10" s="1">
        <f t="shared" si="0"/>
        <v>27750852.479999997</v>
      </c>
      <c r="G10" s="1">
        <v>2312561.58</v>
      </c>
      <c r="H10" s="2">
        <v>14743</v>
      </c>
      <c r="I10" s="2">
        <v>2587</v>
      </c>
      <c r="J10" s="1">
        <v>893.92</v>
      </c>
      <c r="K10" t="s">
        <v>56</v>
      </c>
    </row>
    <row r="11" spans="1:11" x14ac:dyDescent="0.25">
      <c r="A11" t="s">
        <v>55</v>
      </c>
      <c r="B11" s="23">
        <f>36696/B9</f>
        <v>7.7149055629418114E-3</v>
      </c>
      <c r="F11" s="1">
        <f t="shared" si="0"/>
        <v>61335194.879999995</v>
      </c>
      <c r="G11" s="1">
        <v>5111260.7300000004</v>
      </c>
      <c r="H11" s="2">
        <v>1819</v>
      </c>
      <c r="I11" s="2">
        <v>3077</v>
      </c>
      <c r="J11" s="1">
        <v>1661.12</v>
      </c>
      <c r="K11" t="s">
        <v>54</v>
      </c>
    </row>
    <row r="12" spans="1:11" x14ac:dyDescent="0.25">
      <c r="A12" t="s">
        <v>53</v>
      </c>
      <c r="B12" s="23">
        <f>426190/B9</f>
        <v>8.9601471600996588E-2</v>
      </c>
      <c r="F12" s="1">
        <f t="shared" si="0"/>
        <v>11408098.800000003</v>
      </c>
      <c r="G12" s="1">
        <v>950674.62</v>
      </c>
      <c r="H12" s="2">
        <v>296</v>
      </c>
      <c r="I12" s="2">
        <v>313</v>
      </c>
      <c r="J12" s="1">
        <v>3037.3</v>
      </c>
      <c r="K12" t="s">
        <v>52</v>
      </c>
    </row>
    <row r="13" spans="1:11" x14ac:dyDescent="0.25">
      <c r="F13" s="1">
        <f>SUM(F3:F12)</f>
        <v>7622146361.8800011</v>
      </c>
      <c r="G13" s="1">
        <f>SUM(G3:G12)</f>
        <v>636407888.69000006</v>
      </c>
      <c r="H13" s="17">
        <f>SUM(H3:H12)</f>
        <v>303704</v>
      </c>
      <c r="I13" s="2">
        <f>SUM(I3:I12)</f>
        <v>318402</v>
      </c>
    </row>
    <row r="15" spans="1:11" x14ac:dyDescent="0.25">
      <c r="A15" t="s">
        <v>51</v>
      </c>
      <c r="B15" s="2">
        <v>907809</v>
      </c>
      <c r="C15" s="22">
        <f>H45</f>
        <v>909202</v>
      </c>
      <c r="D15" s="21">
        <v>43891</v>
      </c>
      <c r="F15" s="1">
        <f>(J15*12)*I15</f>
        <v>47072592</v>
      </c>
      <c r="G15" s="1">
        <v>3922751.76</v>
      </c>
      <c r="H15" s="2">
        <v>2204</v>
      </c>
      <c r="I15" s="2">
        <v>2278</v>
      </c>
      <c r="J15" s="1">
        <v>1722</v>
      </c>
      <c r="K15" t="s">
        <v>50</v>
      </c>
    </row>
    <row r="16" spans="1:11" x14ac:dyDescent="0.25">
      <c r="A16" t="s">
        <v>49</v>
      </c>
      <c r="B16" s="20">
        <f>(H13*B12)+(H21*B11)</f>
        <v>27791.367568135665</v>
      </c>
      <c r="F16" s="1">
        <f>(J16*12)*I16</f>
        <v>89353448.400000006</v>
      </c>
      <c r="G16" s="1">
        <v>7446162.6100000003</v>
      </c>
      <c r="H16" s="2">
        <v>8637</v>
      </c>
      <c r="I16" s="2">
        <v>9635</v>
      </c>
      <c r="J16" s="2">
        <v>772.82</v>
      </c>
      <c r="K16" t="s">
        <v>48</v>
      </c>
    </row>
    <row r="17" spans="1:11" x14ac:dyDescent="0.25">
      <c r="B17" s="19"/>
      <c r="F17" s="1">
        <f>(J17*12)*I17</f>
        <v>106138670.40000001</v>
      </c>
      <c r="G17" s="1">
        <v>8844929.9700000007</v>
      </c>
      <c r="H17" s="2">
        <v>12486</v>
      </c>
      <c r="I17" s="2">
        <v>13685</v>
      </c>
      <c r="J17" s="18">
        <v>646.32000000000005</v>
      </c>
      <c r="K17" t="s">
        <v>47</v>
      </c>
    </row>
    <row r="18" spans="1:11" x14ac:dyDescent="0.25">
      <c r="A18" t="s">
        <v>46</v>
      </c>
      <c r="B18" s="12">
        <f>H23/H45</f>
        <v>0.41658399343600211</v>
      </c>
      <c r="F18" s="1">
        <f>(J18*12)*I18</f>
        <v>15169277.76</v>
      </c>
      <c r="G18" s="1">
        <v>1264105.56</v>
      </c>
      <c r="H18" s="2">
        <v>3422</v>
      </c>
      <c r="I18" s="2">
        <v>2366</v>
      </c>
      <c r="J18" s="1">
        <v>534.28</v>
      </c>
      <c r="K18" t="s">
        <v>45</v>
      </c>
    </row>
    <row r="19" spans="1:11" x14ac:dyDescent="0.25">
      <c r="A19" t="s">
        <v>44</v>
      </c>
      <c r="B19" s="12">
        <f>B12</f>
        <v>8.9601471600996588E-2</v>
      </c>
      <c r="F19" s="1">
        <f>(J19*12)*I19</f>
        <v>7607440.6800000006</v>
      </c>
      <c r="G19" s="1">
        <v>633933.54</v>
      </c>
      <c r="H19" s="2">
        <v>48306</v>
      </c>
      <c r="I19" s="2">
        <v>5789</v>
      </c>
      <c r="J19" s="1">
        <v>109.51</v>
      </c>
      <c r="K19" t="s">
        <v>43</v>
      </c>
    </row>
    <row r="20" spans="1:11" x14ac:dyDescent="0.25">
      <c r="A20" s="13" t="s">
        <v>42</v>
      </c>
      <c r="B20" s="12">
        <f>G13/G45</f>
        <v>0.70976197894783055</v>
      </c>
    </row>
    <row r="21" spans="1:11" x14ac:dyDescent="0.25">
      <c r="A21" s="13" t="s">
        <v>41</v>
      </c>
      <c r="B21" s="12">
        <f>G21/G45</f>
        <v>2.4660558782424104E-2</v>
      </c>
      <c r="F21" s="1">
        <f>SUM(F15:F19)</f>
        <v>265341429.24000001</v>
      </c>
      <c r="G21" s="1">
        <f>SUM(G15:G19)</f>
        <v>22111883.440000001</v>
      </c>
      <c r="H21" s="17">
        <f>SUM(H15:H19)</f>
        <v>75055</v>
      </c>
      <c r="I21" s="2">
        <f>SUM(I15:I20)</f>
        <v>33753</v>
      </c>
      <c r="K21" t="s">
        <v>40</v>
      </c>
    </row>
    <row r="22" spans="1:11" x14ac:dyDescent="0.25">
      <c r="A22" s="13" t="s">
        <v>39</v>
      </c>
      <c r="B22" s="12">
        <f>SUM(B20:B21)</f>
        <v>0.73442253773025468</v>
      </c>
    </row>
    <row r="23" spans="1:11" x14ac:dyDescent="0.25">
      <c r="A23" s="13" t="s">
        <v>38</v>
      </c>
      <c r="B23" s="12">
        <f>H43/H45</f>
        <v>0.58341600656399784</v>
      </c>
      <c r="F23" s="1">
        <f>F21+F13</f>
        <v>7887487791.1200008</v>
      </c>
      <c r="G23" s="1">
        <f>SUM(G13:G19)</f>
        <v>658519772.13</v>
      </c>
      <c r="H23" s="9">
        <f>H21+H13</f>
        <v>378759</v>
      </c>
      <c r="I23" s="9">
        <f>I13+I21</f>
        <v>352155</v>
      </c>
      <c r="J23" s="8"/>
      <c r="K23" s="16" t="s">
        <v>37</v>
      </c>
    </row>
    <row r="24" spans="1:11" x14ac:dyDescent="0.25">
      <c r="A24" s="13" t="s">
        <v>36</v>
      </c>
      <c r="B24" s="12">
        <f>G43/G45</f>
        <v>0.26557746226974538</v>
      </c>
      <c r="G24" s="15">
        <f>G23*12</f>
        <v>7902237265.5599995</v>
      </c>
    </row>
    <row r="25" spans="1:11" x14ac:dyDescent="0.25">
      <c r="A25" s="13" t="s">
        <v>35</v>
      </c>
      <c r="B25" s="14">
        <v>9270000000</v>
      </c>
      <c r="C25" s="1">
        <f>F45</f>
        <v>10687924237.200001</v>
      </c>
    </row>
    <row r="26" spans="1:11" x14ac:dyDescent="0.25">
      <c r="A26" s="13" t="s">
        <v>34</v>
      </c>
      <c r="B26" s="14">
        <v>6040000000</v>
      </c>
    </row>
    <row r="27" spans="1:11" x14ac:dyDescent="0.25">
      <c r="A27" s="13" t="s">
        <v>33</v>
      </c>
      <c r="B27" s="1">
        <f>B25-B26</f>
        <v>3230000000</v>
      </c>
    </row>
    <row r="28" spans="1:11" x14ac:dyDescent="0.25">
      <c r="A28" s="13" t="s">
        <v>32</v>
      </c>
      <c r="B28" s="1">
        <f>B20*B25</f>
        <v>6579493544.8463888</v>
      </c>
    </row>
    <row r="29" spans="1:11" x14ac:dyDescent="0.25">
      <c r="A29" s="13" t="s">
        <v>31</v>
      </c>
      <c r="B29" s="1">
        <f>B21*B25</f>
        <v>228603379.91307145</v>
      </c>
    </row>
    <row r="30" spans="1:11" x14ac:dyDescent="0.25">
      <c r="A30" s="13" t="s">
        <v>30</v>
      </c>
      <c r="B30" s="1">
        <f>B22*B25</f>
        <v>6808096924.7594604</v>
      </c>
      <c r="F30" s="1">
        <f t="shared" ref="F30:F40" si="1">(J30*12)*H30</f>
        <v>223773574.31999999</v>
      </c>
      <c r="G30" s="1">
        <v>19006407.550000001</v>
      </c>
      <c r="H30" s="2">
        <v>23238</v>
      </c>
      <c r="I30" s="2">
        <v>23685</v>
      </c>
      <c r="J30" s="1">
        <v>802.47</v>
      </c>
      <c r="K30" t="s">
        <v>29</v>
      </c>
    </row>
    <row r="31" spans="1:11" x14ac:dyDescent="0.25">
      <c r="B31" s="1"/>
      <c r="F31" s="1">
        <f t="shared" si="1"/>
        <v>1642696.32</v>
      </c>
      <c r="G31" s="1">
        <v>161966.07999999999</v>
      </c>
      <c r="H31" s="2">
        <v>202</v>
      </c>
      <c r="I31" s="2">
        <v>239</v>
      </c>
      <c r="J31" s="1">
        <v>677.68</v>
      </c>
      <c r="K31" t="s">
        <v>28</v>
      </c>
    </row>
    <row r="32" spans="1:11" x14ac:dyDescent="0.25">
      <c r="A32" s="13" t="s">
        <v>27</v>
      </c>
      <c r="B32" s="1">
        <f>B29*B11</f>
        <v>1763653.4873986554</v>
      </c>
      <c r="F32" s="1">
        <f t="shared" si="1"/>
        <v>238663992.00000003</v>
      </c>
      <c r="G32" s="1">
        <v>21400750.079999998</v>
      </c>
      <c r="H32" s="2">
        <v>13955</v>
      </c>
      <c r="I32" s="2">
        <v>15016</v>
      </c>
      <c r="J32" s="1">
        <v>1425.2</v>
      </c>
      <c r="K32" t="s">
        <v>26</v>
      </c>
    </row>
    <row r="33" spans="1:11" x14ac:dyDescent="0.25">
      <c r="A33" s="13" t="s">
        <v>25</v>
      </c>
      <c r="B33" s="1">
        <f>B12*B30</f>
        <v>610015503.26066697</v>
      </c>
      <c r="F33" s="1">
        <f t="shared" si="1"/>
        <v>665707.55999999994</v>
      </c>
      <c r="G33" s="1">
        <v>63399.97</v>
      </c>
      <c r="H33" s="2">
        <v>133</v>
      </c>
      <c r="I33" s="2">
        <v>152</v>
      </c>
      <c r="J33" s="1">
        <v>417.11</v>
      </c>
      <c r="K33" t="s">
        <v>24</v>
      </c>
    </row>
    <row r="34" spans="1:11" x14ac:dyDescent="0.25">
      <c r="A34" s="11" t="s">
        <v>23</v>
      </c>
      <c r="B34" s="8">
        <f>SUM(B32:B33)</f>
        <v>611779156.74806559</v>
      </c>
      <c r="F34" s="1">
        <f t="shared" si="1"/>
        <v>1610661893.76</v>
      </c>
      <c r="G34" s="1">
        <v>137657515.75</v>
      </c>
      <c r="H34" s="2">
        <v>321736</v>
      </c>
      <c r="I34" s="2">
        <v>329971</v>
      </c>
      <c r="J34" s="1">
        <v>417.18</v>
      </c>
      <c r="K34" t="s">
        <v>22</v>
      </c>
    </row>
    <row r="35" spans="1:11" x14ac:dyDescent="0.25">
      <c r="A35" t="s">
        <v>21</v>
      </c>
      <c r="B35" s="12">
        <f>B36/B34</f>
        <v>0.34843581445523192</v>
      </c>
      <c r="F35" s="1">
        <f t="shared" si="1"/>
        <v>1255330.4400000002</v>
      </c>
      <c r="G35" s="1">
        <v>537440.16</v>
      </c>
      <c r="H35" s="2">
        <v>371</v>
      </c>
      <c r="I35" s="2">
        <v>1906</v>
      </c>
      <c r="J35" s="1">
        <v>281.97000000000003</v>
      </c>
      <c r="K35" t="s">
        <v>20</v>
      </c>
    </row>
    <row r="36" spans="1:11" ht="21" x14ac:dyDescent="0.35">
      <c r="A36" s="28" t="s">
        <v>79</v>
      </c>
      <c r="B36" s="27">
        <f>(B27/B25)*B34</f>
        <v>213165768.74824724</v>
      </c>
      <c r="F36" s="1">
        <f t="shared" si="1"/>
        <v>19156539.600000001</v>
      </c>
      <c r="G36" s="1">
        <v>1601215.02</v>
      </c>
      <c r="H36" s="2">
        <v>330</v>
      </c>
      <c r="I36" s="2">
        <v>331</v>
      </c>
      <c r="J36" s="1">
        <v>4837.51</v>
      </c>
      <c r="K36" t="s">
        <v>19</v>
      </c>
    </row>
    <row r="37" spans="1:11" x14ac:dyDescent="0.25">
      <c r="F37" s="1">
        <f t="shared" si="1"/>
        <v>139886292</v>
      </c>
      <c r="G37" s="1">
        <v>11365266.5</v>
      </c>
      <c r="H37" s="2">
        <v>33838</v>
      </c>
      <c r="I37" s="2">
        <v>32991</v>
      </c>
      <c r="J37" s="1">
        <v>344.5</v>
      </c>
      <c r="K37" t="s">
        <v>18</v>
      </c>
    </row>
    <row r="38" spans="1:11" x14ac:dyDescent="0.25">
      <c r="A38" t="s">
        <v>4</v>
      </c>
      <c r="F38" s="1">
        <f t="shared" si="1"/>
        <v>5242497.12</v>
      </c>
      <c r="G38" s="1">
        <v>771628.35</v>
      </c>
      <c r="H38" s="2">
        <v>954</v>
      </c>
      <c r="I38" s="2">
        <v>1685</v>
      </c>
      <c r="J38" s="1">
        <v>457.94</v>
      </c>
      <c r="K38" t="s">
        <v>17</v>
      </c>
    </row>
    <row r="39" spans="1:11" x14ac:dyDescent="0.25">
      <c r="A39" t="s">
        <v>16</v>
      </c>
      <c r="F39" s="1">
        <f t="shared" si="1"/>
        <v>79740195.960000008</v>
      </c>
      <c r="G39" s="1">
        <v>4579164.8899999997</v>
      </c>
      <c r="H39" s="2">
        <v>3371</v>
      </c>
      <c r="I39" s="2">
        <v>23223</v>
      </c>
      <c r="J39" s="1">
        <v>1971.23</v>
      </c>
      <c r="K39" t="s">
        <v>15</v>
      </c>
    </row>
    <row r="40" spans="1:11" x14ac:dyDescent="0.25">
      <c r="A40" t="s">
        <v>14</v>
      </c>
      <c r="F40" s="1">
        <f t="shared" si="1"/>
        <v>479747726.99999994</v>
      </c>
      <c r="G40" s="1">
        <v>40985206.200000003</v>
      </c>
      <c r="H40" s="2">
        <v>132315</v>
      </c>
      <c r="I40" s="2">
        <v>135644</v>
      </c>
      <c r="J40" s="1">
        <v>302.14999999999998</v>
      </c>
      <c r="K40" t="s">
        <v>13</v>
      </c>
    </row>
    <row r="41" spans="1:11" x14ac:dyDescent="0.25">
      <c r="A41" t="s">
        <v>78</v>
      </c>
    </row>
    <row r="43" spans="1:11" x14ac:dyDescent="0.25">
      <c r="F43" s="1">
        <f>SUM(F30:F42)</f>
        <v>2800436446.0799999</v>
      </c>
      <c r="G43" s="1">
        <f>SUM(G30:G42)</f>
        <v>238129960.55000001</v>
      </c>
      <c r="H43" s="9">
        <f>SUM(H30:H42)</f>
        <v>530443</v>
      </c>
      <c r="I43" s="9">
        <f>SUM(I30:I42)</f>
        <v>564843</v>
      </c>
      <c r="J43" s="8"/>
      <c r="K43" s="7" t="s">
        <v>12</v>
      </c>
    </row>
    <row r="44" spans="1:11" x14ac:dyDescent="0.25">
      <c r="B44" s="10"/>
    </row>
    <row r="45" spans="1:11" x14ac:dyDescent="0.25">
      <c r="F45" s="1">
        <f>F43+F23</f>
        <v>10687924237.200001</v>
      </c>
      <c r="G45" s="1">
        <f>G43+G23</f>
        <v>896649732.68000007</v>
      </c>
      <c r="H45" s="9">
        <f>H43+H23</f>
        <v>909202</v>
      </c>
      <c r="I45" s="9">
        <f>I43+I23</f>
        <v>916998</v>
      </c>
      <c r="J45" s="8"/>
      <c r="K45" s="7" t="s">
        <v>11</v>
      </c>
    </row>
    <row r="46" spans="1:11" ht="15.75" x14ac:dyDescent="0.25">
      <c r="A46" s="6" t="s">
        <v>10</v>
      </c>
      <c r="G46" s="1">
        <f>G45*12</f>
        <v>10759796792.16</v>
      </c>
    </row>
    <row r="47" spans="1:11" x14ac:dyDescent="0.25">
      <c r="A47" s="5"/>
    </row>
    <row r="48" spans="1:11" x14ac:dyDescent="0.25">
      <c r="A48" s="4" t="s">
        <v>9</v>
      </c>
      <c r="K48" t="s">
        <v>8</v>
      </c>
    </row>
    <row r="49" spans="1:8" x14ac:dyDescent="0.25">
      <c r="A49" s="4" t="s">
        <v>7</v>
      </c>
    </row>
    <row r="50" spans="1:8" x14ac:dyDescent="0.25">
      <c r="A50" s="29" t="s">
        <v>6</v>
      </c>
    </row>
    <row r="51" spans="1:8" x14ac:dyDescent="0.25">
      <c r="A51" s="3" t="s">
        <v>5</v>
      </c>
    </row>
    <row r="52" spans="1:8" x14ac:dyDescent="0.25">
      <c r="A52" s="5" t="s">
        <v>4</v>
      </c>
    </row>
    <row r="53" spans="1:8" x14ac:dyDescent="0.25">
      <c r="A53" s="4" t="s">
        <v>3</v>
      </c>
    </row>
    <row r="54" spans="1:8" x14ac:dyDescent="0.25">
      <c r="A54" s="3" t="s">
        <v>2</v>
      </c>
    </row>
    <row r="55" spans="1:8" x14ac:dyDescent="0.25">
      <c r="A55" s="4" t="s">
        <v>1</v>
      </c>
    </row>
    <row r="56" spans="1:8" x14ac:dyDescent="0.25">
      <c r="A56" s="3" t="s">
        <v>0</v>
      </c>
    </row>
    <row r="57" spans="1:8" x14ac:dyDescent="0.25">
      <c r="A57" s="39" t="s">
        <v>77</v>
      </c>
      <c r="B57" s="39"/>
      <c r="C57" s="39"/>
      <c r="D57" s="39"/>
      <c r="E57" s="39"/>
      <c r="F57" s="39"/>
      <c r="G57" s="39"/>
      <c r="H57" s="39"/>
    </row>
    <row r="58" spans="1:8" x14ac:dyDescent="0.25">
      <c r="A58" s="39"/>
      <c r="B58" s="39"/>
      <c r="C58" s="39"/>
      <c r="D58" s="39"/>
      <c r="E58" s="39"/>
      <c r="F58" s="39"/>
      <c r="G58" s="39"/>
      <c r="H58" s="39"/>
    </row>
    <row r="59" spans="1:8" ht="46.5" customHeight="1" x14ac:dyDescent="0.25">
      <c r="A59" s="39"/>
      <c r="B59" s="39"/>
      <c r="C59" s="39"/>
      <c r="D59" s="39"/>
      <c r="E59" s="39"/>
      <c r="F59" s="39"/>
      <c r="G59" s="39"/>
      <c r="H59" s="39"/>
    </row>
  </sheetData>
  <mergeCells count="1">
    <mergeCell ref="A57:H59"/>
  </mergeCells>
  <hyperlinks>
    <hyperlink ref="A56" r:id="rId1"/>
    <hyperlink ref="A50" r:id="rId2"/>
    <hyperlink ref="A54" r:id="rId3"/>
    <hyperlink ref="A51" r:id="rId4"/>
  </hyperlinks>
  <pageMargins left="0.7" right="0.7" top="0.75" bottom="0.75" header="0.3" footer="0.3"/>
  <pageSetup orientation="portrait" verticalDpi="599"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
  <sheetViews>
    <sheetView workbookViewId="0">
      <selection activeCell="I16" sqref="I16"/>
    </sheetView>
  </sheetViews>
  <sheetFormatPr defaultRowHeight="15" x14ac:dyDescent="0.25"/>
  <cols>
    <col min="1" max="1" width="17.5703125" bestFit="1" customWidth="1"/>
    <col min="10" max="10" width="13.7109375" bestFit="1" customWidth="1"/>
  </cols>
  <sheetData>
    <row r="1" spans="1:18" x14ac:dyDescent="0.25">
      <c r="A1" t="s">
        <v>132</v>
      </c>
    </row>
    <row r="2" spans="1:18" x14ac:dyDescent="0.25">
      <c r="A2" t="s">
        <v>130</v>
      </c>
      <c r="B2">
        <v>35</v>
      </c>
      <c r="C2">
        <v>47</v>
      </c>
      <c r="D2">
        <v>68</v>
      </c>
      <c r="E2">
        <v>83</v>
      </c>
      <c r="F2">
        <v>91</v>
      </c>
      <c r="G2">
        <v>59</v>
      </c>
      <c r="H2">
        <v>64</v>
      </c>
      <c r="I2">
        <v>44</v>
      </c>
      <c r="J2" t="s">
        <v>131</v>
      </c>
      <c r="K2" s="40">
        <v>0.83</v>
      </c>
      <c r="L2" s="40">
        <v>0.85699999999999998</v>
      </c>
      <c r="M2" s="40">
        <v>0.96799999999999997</v>
      </c>
      <c r="N2" s="40">
        <v>0.97299999999999998</v>
      </c>
      <c r="O2" s="40">
        <v>0.95499999999999996</v>
      </c>
      <c r="P2" s="40">
        <v>0.90600000000000003</v>
      </c>
      <c r="Q2" s="40">
        <v>0.91400000000000003</v>
      </c>
      <c r="R2" s="40">
        <v>0.45300000000000001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Sep MO Veteran on MO HealthNet </vt:lpstr>
      <vt:lpstr>MO Veteran on MO HealthNet  (2</vt:lpstr>
      <vt:lpstr>Sheet1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Quinn, Jonathan J</dc:creator>
  <cp:lastModifiedBy>Quinn, Jonathan J</cp:lastModifiedBy>
  <dcterms:created xsi:type="dcterms:W3CDTF">2020-04-24T06:18:23Z</dcterms:created>
  <dcterms:modified xsi:type="dcterms:W3CDTF">2021-11-02T21:58:26Z</dcterms:modified>
</cp:coreProperties>
</file>